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3\Desktop\"/>
    </mc:Choice>
  </mc:AlternateContent>
  <bookViews>
    <workbookView xWindow="0" yWindow="0" windowWidth="28800" windowHeight="12120"/>
  </bookViews>
  <sheets>
    <sheet name="Sheet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Q29" i="1"/>
  <c r="P29" i="1"/>
  <c r="O29" i="1"/>
  <c r="N28" i="1"/>
  <c r="G28" i="1"/>
  <c r="F28" i="1"/>
  <c r="D28" i="1"/>
  <c r="G27" i="1"/>
  <c r="F27" i="1"/>
  <c r="D27" i="1"/>
  <c r="G26" i="1"/>
  <c r="F26" i="1"/>
  <c r="D26" i="1"/>
  <c r="N23" i="1"/>
  <c r="G23" i="1"/>
  <c r="F23" i="1"/>
  <c r="D23" i="1"/>
  <c r="R22" i="1"/>
  <c r="R24" i="1" s="1"/>
  <c r="Q22" i="1"/>
  <c r="Q24" i="1" s="1"/>
  <c r="P22" i="1"/>
  <c r="P24" i="1" s="1"/>
  <c r="O22" i="1"/>
  <c r="O24" i="1" s="1"/>
  <c r="N22" i="1"/>
  <c r="N24" i="1" s="1"/>
  <c r="F22" i="1"/>
  <c r="D22" i="1"/>
  <c r="E14" i="1"/>
  <c r="M10" i="1"/>
  <c r="M13" i="1" s="1"/>
  <c r="M16" i="1" s="1"/>
  <c r="E10" i="1"/>
  <c r="E17" i="1" s="1"/>
  <c r="E4" i="1"/>
  <c r="J10" i="1" s="1"/>
  <c r="J13" i="1" l="1"/>
  <c r="J16" i="1" s="1"/>
  <c r="J11" i="1"/>
  <c r="J12" i="1"/>
  <c r="J15" i="1" s="1"/>
  <c r="M12" i="1"/>
  <c r="M15" i="1" s="1"/>
  <c r="M11" i="1"/>
  <c r="M17" i="1" s="1"/>
  <c r="H27" i="1" l="1"/>
  <c r="H26" i="1"/>
  <c r="J14" i="1"/>
  <c r="J17" i="1" s="1"/>
  <c r="H28" i="1"/>
  <c r="N27" i="1"/>
  <c r="E11" i="1"/>
  <c r="E18" i="1" s="1"/>
  <c r="N26" i="1"/>
  <c r="N29" i="1" l="1"/>
  <c r="K28" i="1"/>
  <c r="I28" i="1"/>
  <c r="H23" i="1"/>
  <c r="H22" i="1"/>
  <c r="I26" i="1"/>
  <c r="H29" i="1"/>
  <c r="K26" i="1"/>
  <c r="K27" i="1"/>
  <c r="I27" i="1"/>
  <c r="L26" i="1" l="1"/>
  <c r="K29" i="1"/>
  <c r="K23" i="1"/>
  <c r="I23" i="1"/>
  <c r="J27" i="1"/>
  <c r="L27" i="1"/>
  <c r="S27" i="1" s="1"/>
  <c r="I29" i="1"/>
  <c r="J28" i="1"/>
  <c r="J26" i="1"/>
  <c r="K22" i="1"/>
  <c r="H24" i="1"/>
  <c r="I22" i="1"/>
  <c r="M28" i="1"/>
  <c r="L28" i="1"/>
  <c r="S28" i="1" s="1"/>
  <c r="T27" i="1" l="1"/>
  <c r="L29" i="1"/>
  <c r="M27" i="1"/>
  <c r="K24" i="1"/>
  <c r="L22" i="1"/>
  <c r="S22" i="1" s="1"/>
  <c r="I24" i="1"/>
  <c r="J29" i="1"/>
  <c r="T28" i="1"/>
  <c r="J23" i="1"/>
  <c r="M26" i="1"/>
  <c r="M29" i="1" s="1"/>
  <c r="J22" i="1"/>
  <c r="S26" i="1"/>
  <c r="S29" i="1" s="1"/>
  <c r="L23" i="1"/>
  <c r="M23" i="1" s="1"/>
  <c r="M22" i="1" l="1"/>
  <c r="M24" i="1" s="1"/>
  <c r="T23" i="1"/>
  <c r="S23" i="1"/>
  <c r="J24" i="1"/>
  <c r="T22" i="1"/>
  <c r="S24" i="1"/>
  <c r="T26" i="1"/>
  <c r="T29" i="1" s="1"/>
  <c r="L24" i="1"/>
  <c r="T24" i="1" l="1"/>
</calcChain>
</file>

<file path=xl/sharedStrings.xml><?xml version="1.0" encoding="utf-8"?>
<sst xmlns="http://schemas.openxmlformats.org/spreadsheetml/2006/main" count="92" uniqueCount="63">
  <si>
    <t xml:space="preserve">Rent Manual Calculation: </t>
  </si>
  <si>
    <t>Unit Price</t>
  </si>
  <si>
    <t>سعر الوحدة سنوي</t>
  </si>
  <si>
    <t>Unit Price Yearly</t>
  </si>
  <si>
    <t>مصاريف إدارية</t>
  </si>
  <si>
    <t>Admin Fees</t>
  </si>
  <si>
    <t>تأمين</t>
  </si>
  <si>
    <t>Insurance</t>
  </si>
  <si>
    <t>سنة</t>
  </si>
  <si>
    <t>Years</t>
  </si>
  <si>
    <t>الوحدات</t>
  </si>
  <si>
    <t>No of Units</t>
  </si>
  <si>
    <t>Contract Value</t>
  </si>
  <si>
    <t xml:space="preserve">Rent </t>
  </si>
  <si>
    <t>Admin Fee</t>
  </si>
  <si>
    <t>سعر الوحدة</t>
  </si>
  <si>
    <t xml:space="preserve">Per Year </t>
  </si>
  <si>
    <t xml:space="preserve">Year </t>
  </si>
  <si>
    <t>Per 6M</t>
  </si>
  <si>
    <t>6M</t>
  </si>
  <si>
    <t>سعى</t>
  </si>
  <si>
    <t>Commission</t>
  </si>
  <si>
    <t>Per Month</t>
  </si>
  <si>
    <t xml:space="preserve">1M </t>
  </si>
  <si>
    <t>Per Day</t>
  </si>
  <si>
    <t>1Day</t>
  </si>
  <si>
    <t>1 Day</t>
  </si>
  <si>
    <t>خصم السداد</t>
  </si>
  <si>
    <t>Discount IFP</t>
  </si>
  <si>
    <t>No of Year</t>
  </si>
  <si>
    <t>خصم خاص</t>
  </si>
  <si>
    <t>Special Discount</t>
  </si>
  <si>
    <t>No of Month</t>
  </si>
  <si>
    <t>إضافة</t>
  </si>
  <si>
    <t>Additional Amount</t>
  </si>
  <si>
    <t>No of days</t>
  </si>
  <si>
    <t>اجمالي الضرايب</t>
  </si>
  <si>
    <t>Total VAT 15%</t>
  </si>
  <si>
    <t>Amount</t>
  </si>
  <si>
    <t>اجمالي</t>
  </si>
  <si>
    <t xml:space="preserve">Total </t>
  </si>
  <si>
    <t>SAR</t>
  </si>
  <si>
    <t xml:space="preserve">قيمة الاجرة </t>
  </si>
  <si>
    <t xml:space="preserve">ضريبة  </t>
  </si>
  <si>
    <t>إجمالى القسط</t>
  </si>
  <si>
    <t>ضريبة خصم السداد</t>
  </si>
  <si>
    <t>اجمالي الخصم</t>
  </si>
  <si>
    <t xml:space="preserve">اجمالي الضريبة </t>
  </si>
  <si>
    <t>إجمالى قيمة القسط</t>
  </si>
  <si>
    <t xml:space="preserve">         </t>
  </si>
  <si>
    <t>S.NO</t>
  </si>
  <si>
    <t>Start Date</t>
  </si>
  <si>
    <t>End Date</t>
  </si>
  <si>
    <t>Days</t>
  </si>
  <si>
    <t>VAT</t>
  </si>
  <si>
    <t>Total Premium</t>
  </si>
  <si>
    <t>VAT on Disc. IFP</t>
  </si>
  <si>
    <t>Total Discount</t>
  </si>
  <si>
    <t>SP Discount</t>
  </si>
  <si>
    <t>Add. Amount</t>
  </si>
  <si>
    <t>Total VAT</t>
  </si>
  <si>
    <t>Consumed</t>
  </si>
  <si>
    <t xml:space="preserve">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</si>
</sst>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yy;@"/>
    <numFmt numFmtId="165" formatCode="[$-1970000]B2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67">
    <xf numFmtId="0" fontId="0" fillId="0" borderId="0" xfId="0"/>
    <xf numFmtId="0" fontId="0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0" fillId="0" borderId="1" xfId="0" applyFont="1" applyBorder="1"/>
    <xf numFmtId="43" fontId="0" fillId="0" borderId="0" xfId="1" applyFont="1"/>
    <xf numFmtId="0" fontId="0" fillId="0" borderId="1" xfId="0" applyFont="1" applyBorder="1" applyAlignment="1">
      <alignment horizontal="left"/>
    </xf>
    <xf numFmtId="4" fontId="0" fillId="0" borderId="0" xfId="0" applyNumberFormat="1" applyFont="1"/>
    <xf numFmtId="43" fontId="6" fillId="0" borderId="1" xfId="1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43" fontId="7" fillId="0" borderId="1" xfId="1" applyFont="1" applyBorder="1"/>
    <xf numFmtId="43" fontId="0" fillId="0" borderId="1" xfId="1" applyFont="1" applyBorder="1" applyAlignment="1">
      <alignment horizontal="left"/>
    </xf>
    <xf numFmtId="43" fontId="0" fillId="0" borderId="3" xfId="1" applyFont="1" applyBorder="1" applyAlignment="1">
      <alignment horizontal="right"/>
    </xf>
    <xf numFmtId="43" fontId="0" fillId="0" borderId="4" xfId="0" applyNumberFormat="1" applyFont="1" applyBorder="1"/>
    <xf numFmtId="43" fontId="0" fillId="0" borderId="2" xfId="1" applyFont="1" applyBorder="1" applyAlignment="1">
      <alignment horizontal="left"/>
    </xf>
    <xf numFmtId="10" fontId="0" fillId="0" borderId="1" xfId="0" applyNumberFormat="1" applyFont="1" applyBorder="1" applyAlignment="1">
      <alignment horizontal="left"/>
    </xf>
    <xf numFmtId="43" fontId="0" fillId="0" borderId="0" xfId="0" applyNumberFormat="1" applyFont="1"/>
    <xf numFmtId="9" fontId="0" fillId="0" borderId="1" xfId="0" applyNumberFormat="1" applyFont="1" applyBorder="1" applyAlignment="1">
      <alignment horizontal="left"/>
    </xf>
    <xf numFmtId="43" fontId="6" fillId="0" borderId="3" xfId="1" applyFont="1" applyBorder="1" applyAlignment="1">
      <alignment horizontal="right"/>
    </xf>
    <xf numFmtId="43" fontId="8" fillId="0" borderId="1" xfId="1" applyFont="1" applyBorder="1"/>
    <xf numFmtId="0" fontId="0" fillId="0" borderId="0" xfId="0" applyFont="1" applyAlignment="1">
      <alignment horizontal="center"/>
    </xf>
    <xf numFmtId="43" fontId="0" fillId="0" borderId="1" xfId="1" applyFont="1" applyBorder="1" applyAlignment="1">
      <alignment horizontal="right"/>
    </xf>
    <xf numFmtId="43" fontId="0" fillId="0" borderId="1" xfId="0" applyNumberFormat="1" applyFont="1" applyBorder="1"/>
    <xf numFmtId="0" fontId="2" fillId="0" borderId="1" xfId="0" applyFont="1" applyFill="1" applyBorder="1"/>
    <xf numFmtId="43" fontId="2" fillId="0" borderId="1" xfId="0" applyNumberFormat="1" applyFont="1" applyBorder="1"/>
    <xf numFmtId="43" fontId="0" fillId="0" borderId="5" xfId="1" applyFont="1" applyBorder="1" applyAlignment="1">
      <alignment horizontal="right"/>
    </xf>
    <xf numFmtId="43" fontId="0" fillId="0" borderId="5" xfId="0" applyNumberFormat="1" applyFont="1" applyBorder="1"/>
    <xf numFmtId="43" fontId="6" fillId="0" borderId="0" xfId="1" applyFont="1" applyBorder="1"/>
    <xf numFmtId="0" fontId="0" fillId="0" borderId="9" xfId="0" applyFont="1" applyBorder="1"/>
    <xf numFmtId="0" fontId="0" fillId="0" borderId="10" xfId="0" applyFont="1" applyBorder="1"/>
    <xf numFmtId="0" fontId="2" fillId="0" borderId="10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0" xfId="0" applyFont="1" applyBorder="1" applyAlignment="1">
      <alignment horizontal="center"/>
    </xf>
    <xf numFmtId="165" fontId="6" fillId="0" borderId="10" xfId="3" applyNumberFormat="1" applyFont="1" applyFill="1" applyBorder="1" applyAlignment="1">
      <alignment horizontal="left" vertical="center" wrapText="1"/>
    </xf>
    <xf numFmtId="164" fontId="7" fillId="0" borderId="10" xfId="3" applyNumberFormat="1" applyFont="1" applyFill="1" applyBorder="1" applyAlignment="1">
      <alignment horizontal="left" vertical="center" wrapText="1"/>
    </xf>
    <xf numFmtId="43" fontId="0" fillId="0" borderId="10" xfId="1" applyFont="1" applyBorder="1"/>
    <xf numFmtId="43" fontId="2" fillId="0" borderId="10" xfId="1" applyFont="1" applyBorder="1"/>
    <xf numFmtId="43" fontId="0" fillId="0" borderId="14" xfId="1" applyFont="1" applyBorder="1"/>
    <xf numFmtId="0" fontId="7" fillId="3" borderId="10" xfId="0" applyFont="1" applyFill="1" applyBorder="1" applyAlignment="1">
      <alignment horizontal="center" vertical="center"/>
    </xf>
    <xf numFmtId="43" fontId="0" fillId="3" borderId="10" xfId="1" applyFont="1" applyFill="1" applyBorder="1"/>
    <xf numFmtId="164" fontId="7" fillId="3" borderId="10" xfId="3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165" fontId="6" fillId="0" borderId="12" xfId="3" applyNumberFormat="1" applyFont="1" applyFill="1" applyBorder="1" applyAlignment="1">
      <alignment horizontal="left" vertical="center" wrapText="1"/>
    </xf>
    <xf numFmtId="164" fontId="7" fillId="0" borderId="12" xfId="3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43" fontId="2" fillId="0" borderId="12" xfId="1" applyFont="1" applyBorder="1"/>
    <xf numFmtId="43" fontId="0" fillId="0" borderId="12" xfId="1" applyFont="1" applyBorder="1"/>
    <xf numFmtId="43" fontId="0" fillId="0" borderId="15" xfId="1" applyFont="1" applyBorder="1"/>
    <xf numFmtId="9" fontId="0" fillId="0" borderId="0" xfId="2" applyFont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3" borderId="10" xfId="0" applyFont="1" applyFill="1" applyBorder="1" applyAlignment="1">
      <alignment horizontal="center"/>
    </xf>
    <xf numFmtId="165" fontId="6" fillId="3" borderId="10" xfId="3" applyNumberFormat="1" applyFont="1" applyFill="1" applyBorder="1" applyAlignment="1">
      <alignment horizontal="left" vertical="center" wrapText="1"/>
    </xf>
    <xf numFmtId="43" fontId="7" fillId="3" borderId="10" xfId="1" applyFont="1" applyFill="1" applyBorder="1"/>
    <xf numFmtId="43" fontId="1" fillId="3" borderId="10" xfId="1" applyFont="1" applyFill="1" applyBorder="1"/>
    <xf numFmtId="43" fontId="2" fillId="3" borderId="10" xfId="1" applyFont="1" applyFill="1" applyBorder="1"/>
    <xf numFmtId="43" fontId="0" fillId="3" borderId="9" xfId="1" applyFont="1" applyFill="1" applyBorder="1"/>
    <xf numFmtId="43" fontId="0" fillId="4" borderId="10" xfId="1" applyFont="1" applyFill="1" applyBorder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0"/>
  <sheetViews>
    <sheetView showGridLines="0" tabSelected="1"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K29" sqref="K29"/>
    </sheetView>
  </sheetViews>
  <sheetFormatPr defaultRowHeight="15" x14ac:dyDescent="0.25"/>
  <cols>
    <col min="1" max="1" width="3.28515625" style="1" customWidth="1"/>
    <col min="2" max="2" width="6.140625" style="1" customWidth="1"/>
    <col min="3" max="3" width="14.28515625" style="1" bestFit="1" customWidth="1"/>
    <col min="4" max="4" width="18.140625" style="1" bestFit="1" customWidth="1"/>
    <col min="5" max="5" width="14.28515625" style="1" bestFit="1" customWidth="1"/>
    <col min="6" max="6" width="11.7109375" style="1" bestFit="1" customWidth="1"/>
    <col min="7" max="7" width="5.140625" style="1" bestFit="1" customWidth="1"/>
    <col min="8" max="8" width="19.42578125" style="1" bestFit="1" customWidth="1"/>
    <col min="9" max="9" width="13.28515625" style="1" bestFit="1" customWidth="1"/>
    <col min="10" max="10" width="15.5703125" style="1" bestFit="1" customWidth="1"/>
    <col min="11" max="11" width="11.85546875" style="1" bestFit="1" customWidth="1"/>
    <col min="12" max="13" width="16.5703125" style="1" customWidth="1"/>
    <col min="14" max="14" width="11.42578125" style="1" customWidth="1"/>
    <col min="15" max="15" width="13.28515625" style="1" hidden="1" customWidth="1"/>
    <col min="16" max="16" width="9.5703125" style="1" hidden="1" customWidth="1"/>
    <col min="17" max="17" width="11.28515625" style="1" hidden="1" customWidth="1"/>
    <col min="18" max="18" width="12.7109375" style="1" hidden="1" customWidth="1"/>
    <col min="19" max="19" width="12.7109375" style="1" customWidth="1"/>
    <col min="20" max="20" width="15.5703125" style="1" bestFit="1" customWidth="1"/>
    <col min="21" max="21" width="13.28515625" style="1" bestFit="1" customWidth="1"/>
    <col min="22" max="22" width="2.7109375" style="1" customWidth="1"/>
    <col min="23" max="16384" width="9.140625" style="1"/>
  </cols>
  <sheetData>
    <row r="1" spans="2:19" ht="6.75" customHeight="1" x14ac:dyDescent="0.25"/>
    <row r="2" spans="2:19" ht="15.75" x14ac:dyDescent="0.25">
      <c r="B2" s="2" t="s">
        <v>0</v>
      </c>
      <c r="C2" s="3"/>
      <c r="D2" s="3"/>
    </row>
    <row r="3" spans="2:19" ht="15.75" x14ac:dyDescent="0.25">
      <c r="B3" s="4"/>
      <c r="C3" s="5" t="s">
        <v>1</v>
      </c>
      <c r="D3" s="6"/>
    </row>
    <row r="4" spans="2:19" x14ac:dyDescent="0.25">
      <c r="C4" s="7" t="s">
        <v>2</v>
      </c>
      <c r="D4" s="7" t="s">
        <v>3</v>
      </c>
      <c r="E4" s="8">
        <f>1063200/2</f>
        <v>531600</v>
      </c>
      <c r="F4" s="9"/>
      <c r="J4" s="10"/>
    </row>
    <row r="5" spans="2:19" x14ac:dyDescent="0.25">
      <c r="C5" s="7" t="s">
        <v>4</v>
      </c>
      <c r="D5" s="7" t="s">
        <v>5</v>
      </c>
      <c r="E5" s="11">
        <v>39870</v>
      </c>
      <c r="F5" s="9"/>
    </row>
    <row r="6" spans="2:19" x14ac:dyDescent="0.25">
      <c r="C6" s="7" t="s">
        <v>6</v>
      </c>
      <c r="D6" s="7" t="s">
        <v>7</v>
      </c>
      <c r="E6" s="11">
        <v>0</v>
      </c>
      <c r="F6" s="9"/>
    </row>
    <row r="7" spans="2:19" x14ac:dyDescent="0.25">
      <c r="C7" s="7" t="s">
        <v>8</v>
      </c>
      <c r="D7" s="7" t="s">
        <v>9</v>
      </c>
      <c r="E7" s="11">
        <v>1</v>
      </c>
      <c r="F7" s="9"/>
    </row>
    <row r="8" spans="2:19" x14ac:dyDescent="0.25">
      <c r="C8" s="7" t="s">
        <v>10</v>
      </c>
      <c r="D8" s="7" t="s">
        <v>11</v>
      </c>
      <c r="E8" s="11">
        <v>2</v>
      </c>
      <c r="F8" s="9"/>
    </row>
    <row r="9" spans="2:19" x14ac:dyDescent="0.25">
      <c r="C9" s="12" t="s">
        <v>12</v>
      </c>
      <c r="D9" s="7"/>
      <c r="E9" s="11"/>
      <c r="F9" s="9"/>
      <c r="H9" s="12" t="s">
        <v>13</v>
      </c>
      <c r="I9" s="7"/>
      <c r="J9" s="7"/>
      <c r="K9" s="13" t="s">
        <v>14</v>
      </c>
      <c r="L9" s="7"/>
      <c r="M9" s="7"/>
    </row>
    <row r="10" spans="2:19" x14ac:dyDescent="0.25">
      <c r="C10" s="7" t="s">
        <v>15</v>
      </c>
      <c r="D10" s="7" t="s">
        <v>1</v>
      </c>
      <c r="E10" s="14">
        <f>($E$4*$E$8*$E$7)</f>
        <v>1063200</v>
      </c>
      <c r="F10" s="9"/>
      <c r="H10" s="15" t="s">
        <v>16</v>
      </c>
      <c r="I10" s="16" t="s">
        <v>17</v>
      </c>
      <c r="J10" s="17">
        <f>($E$4*E8)</f>
        <v>1063200</v>
      </c>
      <c r="K10" s="18" t="s">
        <v>16</v>
      </c>
      <c r="L10" s="16" t="s">
        <v>17</v>
      </c>
      <c r="M10" s="17">
        <f>($E$5)</f>
        <v>39870</v>
      </c>
    </row>
    <row r="11" spans="2:19" x14ac:dyDescent="0.25">
      <c r="C11" s="7" t="s">
        <v>4</v>
      </c>
      <c r="D11" s="7" t="s">
        <v>5</v>
      </c>
      <c r="E11" s="14">
        <f>($M$17*$E$8*$E$7)</f>
        <v>79740</v>
      </c>
      <c r="F11" s="9"/>
      <c r="H11" s="15" t="s">
        <v>18</v>
      </c>
      <c r="I11" s="16" t="s">
        <v>19</v>
      </c>
      <c r="J11" s="17">
        <f>($J$10/2)</f>
        <v>531600</v>
      </c>
      <c r="K11" s="18" t="s">
        <v>18</v>
      </c>
      <c r="L11" s="16" t="s">
        <v>19</v>
      </c>
      <c r="M11" s="17">
        <f>($M$10)</f>
        <v>39870</v>
      </c>
    </row>
    <row r="12" spans="2:19" x14ac:dyDescent="0.25">
      <c r="C12" s="7" t="s">
        <v>20</v>
      </c>
      <c r="D12" s="7" t="s">
        <v>21</v>
      </c>
      <c r="E12" s="11">
        <v>0</v>
      </c>
      <c r="F12" s="19">
        <v>2.5000000000000001E-2</v>
      </c>
      <c r="H12" s="15" t="s">
        <v>22</v>
      </c>
      <c r="I12" s="16" t="s">
        <v>23</v>
      </c>
      <c r="J12" s="17">
        <f>(J10/12*1)</f>
        <v>88600</v>
      </c>
      <c r="K12" s="18" t="s">
        <v>22</v>
      </c>
      <c r="L12" s="16" t="s">
        <v>23</v>
      </c>
      <c r="M12" s="17">
        <f>(M10/12*1)</f>
        <v>3322.5</v>
      </c>
      <c r="Q12" s="20"/>
    </row>
    <row r="13" spans="2:19" x14ac:dyDescent="0.25">
      <c r="C13" s="7" t="s">
        <v>6</v>
      </c>
      <c r="D13" s="7" t="s">
        <v>7</v>
      </c>
      <c r="E13" s="11">
        <v>0</v>
      </c>
      <c r="F13" s="9"/>
      <c r="H13" s="15" t="s">
        <v>24</v>
      </c>
      <c r="I13" s="16" t="s">
        <v>25</v>
      </c>
      <c r="J13" s="17">
        <f>(J10/354*1)</f>
        <v>3003.3898305084745</v>
      </c>
      <c r="K13" s="18" t="s">
        <v>24</v>
      </c>
      <c r="L13" s="16" t="s">
        <v>26</v>
      </c>
      <c r="M13" s="17">
        <f>(M10/354*1)</f>
        <v>112.62711864406779</v>
      </c>
      <c r="Q13" s="20"/>
      <c r="R13" s="20"/>
      <c r="S13" s="20"/>
    </row>
    <row r="14" spans="2:19" x14ac:dyDescent="0.25">
      <c r="C14" s="7" t="s">
        <v>27</v>
      </c>
      <c r="D14" s="7" t="s">
        <v>28</v>
      </c>
      <c r="E14" s="14">
        <f>($E$4*0.1*$E$8)</f>
        <v>106320</v>
      </c>
      <c r="F14" s="21">
        <v>0.1</v>
      </c>
      <c r="H14" s="15" t="s">
        <v>29</v>
      </c>
      <c r="I14" s="22">
        <v>0</v>
      </c>
      <c r="J14" s="17">
        <f>(J11*$I$14*$E$8)</f>
        <v>0</v>
      </c>
      <c r="K14" s="18" t="s">
        <v>29</v>
      </c>
      <c r="L14" s="16">
        <v>0</v>
      </c>
      <c r="M14" s="17">
        <v>0</v>
      </c>
    </row>
    <row r="15" spans="2:19" x14ac:dyDescent="0.25">
      <c r="C15" s="7" t="s">
        <v>30</v>
      </c>
      <c r="D15" s="7" t="s">
        <v>31</v>
      </c>
      <c r="E15" s="11">
        <v>0</v>
      </c>
      <c r="F15" s="9"/>
      <c r="H15" s="15" t="s">
        <v>32</v>
      </c>
      <c r="I15" s="22">
        <v>6</v>
      </c>
      <c r="J15" s="17">
        <f>(J12*$I$15*$E$8)</f>
        <v>1063200</v>
      </c>
      <c r="K15" s="18" t="s">
        <v>32</v>
      </c>
      <c r="L15" s="11">
        <v>0</v>
      </c>
      <c r="M15" s="17">
        <f>(M12*L15)</f>
        <v>0</v>
      </c>
    </row>
    <row r="16" spans="2:19" x14ac:dyDescent="0.25">
      <c r="C16" s="7" t="s">
        <v>33</v>
      </c>
      <c r="D16" s="7" t="s">
        <v>34</v>
      </c>
      <c r="E16" s="11">
        <v>0</v>
      </c>
      <c r="F16" s="9"/>
      <c r="H16" s="15" t="s">
        <v>35</v>
      </c>
      <c r="I16" s="22">
        <v>0</v>
      </c>
      <c r="J16" s="17">
        <f>(J13*$I$16*$E$8)</f>
        <v>0</v>
      </c>
      <c r="K16" s="18" t="s">
        <v>35</v>
      </c>
      <c r="L16" s="23">
        <v>0</v>
      </c>
      <c r="M16" s="17">
        <f>(M13*L16)</f>
        <v>0</v>
      </c>
      <c r="Q16" s="24"/>
    </row>
    <row r="17" spans="2:22" x14ac:dyDescent="0.25">
      <c r="C17" s="7" t="s">
        <v>36</v>
      </c>
      <c r="D17" s="7" t="s">
        <v>37</v>
      </c>
      <c r="E17" s="14">
        <f>SUM(E10*0.15)+(E14*0.15)</f>
        <v>175428</v>
      </c>
      <c r="F17" s="9"/>
      <c r="H17" s="25"/>
      <c r="I17" s="25" t="s">
        <v>38</v>
      </c>
      <c r="J17" s="26">
        <f>(J14+J16+J15)</f>
        <v>1063200</v>
      </c>
      <c r="K17" s="18"/>
      <c r="L17" s="25" t="s">
        <v>38</v>
      </c>
      <c r="M17" s="26">
        <f>(M11+M16+M15)</f>
        <v>39870</v>
      </c>
    </row>
    <row r="18" spans="2:22" x14ac:dyDescent="0.25">
      <c r="C18" s="27" t="s">
        <v>39</v>
      </c>
      <c r="D18" s="27" t="s">
        <v>40</v>
      </c>
      <c r="E18" s="28">
        <f>SUM(E10:E17)</f>
        <v>1424688</v>
      </c>
      <c r="F18" s="12" t="s">
        <v>41</v>
      </c>
      <c r="H18" s="29"/>
      <c r="I18" s="29"/>
      <c r="J18" s="30"/>
      <c r="P18" s="31"/>
    </row>
    <row r="20" spans="2:22" x14ac:dyDescent="0.25">
      <c r="B20" s="56"/>
      <c r="C20" s="57"/>
      <c r="D20" s="57"/>
      <c r="E20" s="57"/>
      <c r="F20" s="57"/>
      <c r="G20" s="58"/>
      <c r="H20" s="32" t="s">
        <v>42</v>
      </c>
      <c r="I20" s="33" t="s">
        <v>43</v>
      </c>
      <c r="J20" s="33" t="s">
        <v>44</v>
      </c>
      <c r="K20" s="33" t="s">
        <v>27</v>
      </c>
      <c r="L20" s="33" t="s">
        <v>45</v>
      </c>
      <c r="M20" s="33" t="s">
        <v>46</v>
      </c>
      <c r="N20" s="33" t="s">
        <v>4</v>
      </c>
      <c r="O20" s="33" t="s">
        <v>20</v>
      </c>
      <c r="P20" s="33" t="s">
        <v>6</v>
      </c>
      <c r="Q20" s="33" t="s">
        <v>30</v>
      </c>
      <c r="R20" s="33" t="s">
        <v>33</v>
      </c>
      <c r="S20" s="33" t="s">
        <v>47</v>
      </c>
      <c r="T20" s="34" t="s">
        <v>48</v>
      </c>
      <c r="U20" s="33" t="s">
        <v>49</v>
      </c>
      <c r="V20" s="35"/>
    </row>
    <row r="21" spans="2:22" x14ac:dyDescent="0.25">
      <c r="B21" s="36" t="s">
        <v>50</v>
      </c>
      <c r="C21" s="59" t="s">
        <v>51</v>
      </c>
      <c r="D21" s="59"/>
      <c r="E21" s="59" t="s">
        <v>52</v>
      </c>
      <c r="F21" s="59"/>
      <c r="G21" s="36" t="s">
        <v>53</v>
      </c>
      <c r="H21" s="33" t="s">
        <v>1</v>
      </c>
      <c r="I21" s="33" t="s">
        <v>54</v>
      </c>
      <c r="J21" s="33" t="s">
        <v>55</v>
      </c>
      <c r="K21" s="33" t="s">
        <v>28</v>
      </c>
      <c r="L21" s="33" t="s">
        <v>56</v>
      </c>
      <c r="M21" s="33" t="s">
        <v>57</v>
      </c>
      <c r="N21" s="33" t="s">
        <v>5</v>
      </c>
      <c r="O21" s="32" t="s">
        <v>21</v>
      </c>
      <c r="P21" s="33" t="s">
        <v>7</v>
      </c>
      <c r="Q21" s="33" t="s">
        <v>58</v>
      </c>
      <c r="R21" s="33" t="s">
        <v>59</v>
      </c>
      <c r="S21" s="33" t="s">
        <v>60</v>
      </c>
      <c r="T21" s="34" t="s">
        <v>55</v>
      </c>
      <c r="U21" s="33"/>
      <c r="V21" s="37"/>
    </row>
    <row r="22" spans="2:22" x14ac:dyDescent="0.25">
      <c r="B22" s="60">
        <v>1</v>
      </c>
      <c r="C22" s="61">
        <v>44594</v>
      </c>
      <c r="D22" s="46">
        <f>(C22)</f>
        <v>44594</v>
      </c>
      <c r="E22" s="61">
        <v>44771</v>
      </c>
      <c r="F22" s="46">
        <f>(E22)</f>
        <v>44771</v>
      </c>
      <c r="G22" s="44">
        <v>177</v>
      </c>
      <c r="H22" s="62">
        <f>($J$17/354*G22)</f>
        <v>531600</v>
      </c>
      <c r="I22" s="45">
        <f>($H$22*0.15)</f>
        <v>79740</v>
      </c>
      <c r="J22" s="63">
        <f>(H22+I22)</f>
        <v>611340</v>
      </c>
      <c r="K22" s="45">
        <f>(H22*0.1)</f>
        <v>53160</v>
      </c>
      <c r="L22" s="45">
        <f>($K22*0.15)</f>
        <v>7974</v>
      </c>
      <c r="M22" s="45">
        <f>(K22+L22)</f>
        <v>61134</v>
      </c>
      <c r="N22" s="62">
        <f>($E$5/2*$E$8)</f>
        <v>39870</v>
      </c>
      <c r="O22" s="62">
        <f>($E$12)</f>
        <v>0</v>
      </c>
      <c r="P22" s="45">
        <f>($E$13)</f>
        <v>0</v>
      </c>
      <c r="Q22" s="45">
        <f>($E$15)</f>
        <v>0</v>
      </c>
      <c r="R22" s="45">
        <f>($E$16)</f>
        <v>0</v>
      </c>
      <c r="S22" s="45">
        <f>(I22+L22)</f>
        <v>87714</v>
      </c>
      <c r="T22" s="64">
        <f>(J22+N22+O22+P22-Q22+R22+M22)</f>
        <v>712344</v>
      </c>
      <c r="U22" s="45"/>
      <c r="V22" s="43"/>
    </row>
    <row r="23" spans="2:22" x14ac:dyDescent="0.25">
      <c r="B23" s="60">
        <v>2</v>
      </c>
      <c r="C23" s="61">
        <v>44772</v>
      </c>
      <c r="D23" s="46">
        <f>(C23)</f>
        <v>44772</v>
      </c>
      <c r="E23" s="61">
        <v>44948</v>
      </c>
      <c r="F23" s="46">
        <f t="shared" ref="F23:F28" si="0">(E23)</f>
        <v>44948</v>
      </c>
      <c r="G23" s="44">
        <f>E23-C23+1</f>
        <v>177</v>
      </c>
      <c r="H23" s="62">
        <f>($J$17/354*G23)</f>
        <v>531600</v>
      </c>
      <c r="I23" s="45">
        <f>($H$23*0.15)</f>
        <v>79740</v>
      </c>
      <c r="J23" s="63">
        <f t="shared" ref="J23:J28" si="1">(H23+I23)</f>
        <v>611340</v>
      </c>
      <c r="K23" s="45">
        <f>(H23*0.1)</f>
        <v>53160</v>
      </c>
      <c r="L23" s="45">
        <f>($K23*0.15)</f>
        <v>7974</v>
      </c>
      <c r="M23" s="45">
        <f>(K23+L23)</f>
        <v>61134</v>
      </c>
      <c r="N23" s="62">
        <f>($E$5/2*$E$8)</f>
        <v>39870</v>
      </c>
      <c r="O23" s="65"/>
      <c r="P23" s="45"/>
      <c r="Q23" s="45"/>
      <c r="R23" s="45"/>
      <c r="S23" s="45">
        <f t="shared" ref="S23:S28" si="2">(I23+L23)</f>
        <v>87714</v>
      </c>
      <c r="T23" s="64">
        <f>(J23+N23+O23+P23-Q23+R23+M23)</f>
        <v>712344</v>
      </c>
      <c r="U23" s="45"/>
      <c r="V23" s="43"/>
    </row>
    <row r="24" spans="2:22" x14ac:dyDescent="0.25">
      <c r="B24" s="38"/>
      <c r="C24" s="39"/>
      <c r="D24" s="40"/>
      <c r="E24" s="39"/>
      <c r="F24" s="40"/>
      <c r="G24" s="47"/>
      <c r="H24" s="42">
        <f t="shared" ref="H24:S24" si="3">SUM(H22:H23)</f>
        <v>1063200</v>
      </c>
      <c r="I24" s="42">
        <f t="shared" si="3"/>
        <v>159480</v>
      </c>
      <c r="J24" s="42">
        <f t="shared" si="3"/>
        <v>1222680</v>
      </c>
      <c r="K24" s="42">
        <f t="shared" si="3"/>
        <v>106320</v>
      </c>
      <c r="L24" s="42">
        <f t="shared" si="3"/>
        <v>15948</v>
      </c>
      <c r="M24" s="42">
        <f t="shared" si="3"/>
        <v>122268</v>
      </c>
      <c r="N24" s="42">
        <f t="shared" si="3"/>
        <v>79740</v>
      </c>
      <c r="O24" s="42">
        <f t="shared" si="3"/>
        <v>0</v>
      </c>
      <c r="P24" s="42">
        <f t="shared" si="3"/>
        <v>0</v>
      </c>
      <c r="Q24" s="42">
        <f t="shared" si="3"/>
        <v>0</v>
      </c>
      <c r="R24" s="42">
        <f t="shared" si="3"/>
        <v>0</v>
      </c>
      <c r="S24" s="42">
        <f t="shared" si="3"/>
        <v>175428</v>
      </c>
      <c r="T24" s="42">
        <f>SUM(T22:T23)</f>
        <v>1424688</v>
      </c>
      <c r="U24" s="41"/>
      <c r="V24" s="43"/>
    </row>
    <row r="25" spans="2:22" x14ac:dyDescent="0.25">
      <c r="B25" s="48"/>
      <c r="C25" s="49"/>
      <c r="D25" s="50"/>
      <c r="E25" s="49"/>
      <c r="F25" s="50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  <c r="V25" s="54"/>
    </row>
    <row r="26" spans="2:22" x14ac:dyDescent="0.25">
      <c r="B26" s="60">
        <v>1</v>
      </c>
      <c r="C26" s="61">
        <v>44594</v>
      </c>
      <c r="D26" s="46">
        <f t="shared" ref="D26:D27" si="4">(C26)</f>
        <v>44594</v>
      </c>
      <c r="E26" s="61">
        <v>44675</v>
      </c>
      <c r="F26" s="46">
        <f t="shared" si="0"/>
        <v>44675</v>
      </c>
      <c r="G26" s="44">
        <f>E26-C26+1</f>
        <v>82</v>
      </c>
      <c r="H26" s="62">
        <f t="shared" ref="H26:H28" si="5">($J$11/177*G26)</f>
        <v>246277.96610169491</v>
      </c>
      <c r="I26" s="45">
        <f>($H$26*0.15)</f>
        <v>36941.694915254237</v>
      </c>
      <c r="J26" s="63">
        <f>(H26+I26)</f>
        <v>283219.66101694916</v>
      </c>
      <c r="K26" s="45">
        <f>(H26*0.1)</f>
        <v>24627.796610169491</v>
      </c>
      <c r="L26" s="45">
        <f t="shared" ref="L26:L28" si="6">($K26*0.15)</f>
        <v>3694.1694915254234</v>
      </c>
      <c r="M26" s="45">
        <f t="shared" ref="M26:M28" si="7">(K26+L26)</f>
        <v>28321.966101694914</v>
      </c>
      <c r="N26" s="62">
        <f>M17/177*G26</f>
        <v>18470.847457627118</v>
      </c>
      <c r="O26" s="65"/>
      <c r="P26" s="45"/>
      <c r="Q26" s="45"/>
      <c r="R26" s="45"/>
      <c r="S26" s="45">
        <f t="shared" ref="S26" si="8">(I26+L26)</f>
        <v>40635.864406779663</v>
      </c>
      <c r="T26" s="64">
        <f t="shared" ref="T26:T28" si="9">(J26+N26+O26+P26-Q26+R26+M26)</f>
        <v>330012.4745762712</v>
      </c>
      <c r="U26" s="66" t="s">
        <v>61</v>
      </c>
      <c r="V26" s="43"/>
    </row>
    <row r="27" spans="2:22" x14ac:dyDescent="0.25">
      <c r="B27" s="60">
        <v>2</v>
      </c>
      <c r="C27" s="61">
        <v>44676</v>
      </c>
      <c r="D27" s="46">
        <f t="shared" si="4"/>
        <v>44676</v>
      </c>
      <c r="E27" s="61">
        <v>44771</v>
      </c>
      <c r="F27" s="46">
        <f t="shared" si="0"/>
        <v>44771</v>
      </c>
      <c r="G27" s="44">
        <f>E27-C27</f>
        <v>95</v>
      </c>
      <c r="H27" s="62">
        <f t="shared" si="5"/>
        <v>285322.03389830509</v>
      </c>
      <c r="I27" s="45">
        <f>($H$27*0.15)</f>
        <v>42798.305084745763</v>
      </c>
      <c r="J27" s="63">
        <f t="shared" si="1"/>
        <v>328120.33898305084</v>
      </c>
      <c r="K27" s="45">
        <f>(H27*0.1)</f>
        <v>28532.203389830509</v>
      </c>
      <c r="L27" s="45">
        <f t="shared" si="6"/>
        <v>4279.8305084745762</v>
      </c>
      <c r="M27" s="45">
        <f t="shared" si="7"/>
        <v>32812.033898305082</v>
      </c>
      <c r="N27" s="62">
        <f>M17/177*G27</f>
        <v>21399.152542372882</v>
      </c>
      <c r="O27" s="65"/>
      <c r="P27" s="45"/>
      <c r="Q27" s="45"/>
      <c r="R27" s="45"/>
      <c r="S27" s="45">
        <f t="shared" si="2"/>
        <v>47078.135593220337</v>
      </c>
      <c r="T27" s="64">
        <f t="shared" si="9"/>
        <v>382331.5254237288</v>
      </c>
      <c r="U27" s="66" t="s">
        <v>62</v>
      </c>
      <c r="V27" s="43"/>
    </row>
    <row r="28" spans="2:22" x14ac:dyDescent="0.25">
      <c r="B28" s="60">
        <v>3</v>
      </c>
      <c r="C28" s="61">
        <v>44772</v>
      </c>
      <c r="D28" s="46">
        <f>(C28)</f>
        <v>44772</v>
      </c>
      <c r="E28" s="61">
        <v>44948</v>
      </c>
      <c r="F28" s="46">
        <f t="shared" si="0"/>
        <v>44948</v>
      </c>
      <c r="G28" s="44">
        <f>E28-C28+1</f>
        <v>177</v>
      </c>
      <c r="H28" s="62">
        <f t="shared" si="5"/>
        <v>531600</v>
      </c>
      <c r="I28" s="45">
        <f>($H$28*0.15)</f>
        <v>79740</v>
      </c>
      <c r="J28" s="63">
        <f t="shared" si="1"/>
        <v>611340</v>
      </c>
      <c r="K28" s="45">
        <f>(H28*0.1)</f>
        <v>53160</v>
      </c>
      <c r="L28" s="45">
        <f t="shared" si="6"/>
        <v>7974</v>
      </c>
      <c r="M28" s="45">
        <f t="shared" si="7"/>
        <v>61134</v>
      </c>
      <c r="N28" s="62">
        <f>($E$5/2*$E$8)</f>
        <v>39870</v>
      </c>
      <c r="O28" s="65"/>
      <c r="P28" s="45"/>
      <c r="Q28" s="45"/>
      <c r="R28" s="45"/>
      <c r="S28" s="45">
        <f t="shared" si="2"/>
        <v>87714</v>
      </c>
      <c r="T28" s="64">
        <f t="shared" si="9"/>
        <v>712344</v>
      </c>
      <c r="U28" s="66" t="s">
        <v>62</v>
      </c>
      <c r="V28" s="43"/>
    </row>
    <row r="29" spans="2:22" x14ac:dyDescent="0.25">
      <c r="B29" s="38"/>
      <c r="C29" s="39"/>
      <c r="D29" s="40"/>
      <c r="E29" s="39"/>
      <c r="F29" s="40"/>
      <c r="G29" s="47"/>
      <c r="H29" s="42">
        <f t="shared" ref="H29:R29" si="10">SUM(H26:H28)</f>
        <v>1063200</v>
      </c>
      <c r="I29" s="42">
        <f>SUM(I26:I28)</f>
        <v>159480</v>
      </c>
      <c r="J29" s="42">
        <f t="shared" si="10"/>
        <v>1222680</v>
      </c>
      <c r="K29" s="42">
        <f t="shared" si="10"/>
        <v>106320</v>
      </c>
      <c r="L29" s="42">
        <f t="shared" si="10"/>
        <v>15948</v>
      </c>
      <c r="M29" s="42">
        <f t="shared" si="10"/>
        <v>122268</v>
      </c>
      <c r="N29" s="42">
        <f t="shared" si="10"/>
        <v>79740</v>
      </c>
      <c r="O29" s="42">
        <f t="shared" si="10"/>
        <v>0</v>
      </c>
      <c r="P29" s="42">
        <f t="shared" si="10"/>
        <v>0</v>
      </c>
      <c r="Q29" s="42">
        <f t="shared" si="10"/>
        <v>0</v>
      </c>
      <c r="R29" s="42">
        <f t="shared" si="10"/>
        <v>0</v>
      </c>
      <c r="S29" s="42">
        <f>SUM(S26:S28)</f>
        <v>175428</v>
      </c>
      <c r="T29" s="42">
        <f>SUM(T26:T28)</f>
        <v>1424688</v>
      </c>
      <c r="U29" s="41"/>
      <c r="V29" s="43"/>
    </row>
    <row r="30" spans="2:22" x14ac:dyDescent="0.25"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2:22" x14ac:dyDescent="0.25"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2:22" x14ac:dyDescent="0.25"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8:22" x14ac:dyDescent="0.25"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8:22" x14ac:dyDescent="0.25"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8:22" x14ac:dyDescent="0.25"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8:22" x14ac:dyDescent="0.25">
      <c r="H36" s="8"/>
      <c r="I36" s="8"/>
      <c r="J36" s="8"/>
      <c r="K36" s="8"/>
      <c r="L36" s="8"/>
      <c r="M36" s="8"/>
      <c r="N36" s="8"/>
      <c r="O36" s="8"/>
      <c r="P36" s="55"/>
      <c r="Q36" s="8"/>
      <c r="R36" s="8"/>
      <c r="S36" s="8"/>
      <c r="T36" s="8"/>
      <c r="U36" s="8"/>
      <c r="V36" s="8"/>
    </row>
    <row r="37" spans="8:22" x14ac:dyDescent="0.25"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8:22" x14ac:dyDescent="0.25"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8"/>
    </row>
    <row r="39" spans="8:22" x14ac:dyDescent="0.25"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8"/>
    </row>
    <row r="40" spans="8:22" x14ac:dyDescent="0.25"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8:22" x14ac:dyDescent="0.25"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8:22" x14ac:dyDescent="0.25"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8:22" x14ac:dyDescent="0.25"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8:22" x14ac:dyDescent="0.25"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8:22" x14ac:dyDescent="0.25"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8:22" x14ac:dyDescent="0.25"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8:22" x14ac:dyDescent="0.25"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8:22" x14ac:dyDescent="0.25"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8:22" x14ac:dyDescent="0.25"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8:22" x14ac:dyDescent="0.25"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</sheetData>
  <mergeCells count="3">
    <mergeCell ref="B20:G20"/>
    <mergeCell ref="C21:D21"/>
    <mergeCell ref="E21:F21"/>
  </mergeCells>
  <printOptions horizontalCentered="1"/>
  <pageMargins left="0" right="0" top="0.25" bottom="0.25" header="0" footer="0"/>
  <pageSetup paperSize="9" scale="4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213 - Hammad A. Khan</dc:creator>
  <cp:lastModifiedBy>213 - Hammad A. Khan</cp:lastModifiedBy>
  <dcterms:created xsi:type="dcterms:W3CDTF">2022-08-10T16:10:16Z</dcterms:created>
  <dcterms:modified xsi:type="dcterms:W3CDTF">2022-08-10T16:12:07Z</dcterms:modified>
</cp:coreProperties>
</file>